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<sst xmlns="http://schemas.openxmlformats.org/spreadsheetml/2006/main" count="2849" uniqueCount="2066">
  <si>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</si>
  <si>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</si>
  <si>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</si>
  <si>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</si>
  <si>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</si>
  <si>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</si>
  <si>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</si>
  <si>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</si>
  <si>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</si>
  <si>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</si>
  <si>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</si>
  <si>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</si>
  <si>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</si>
  <si>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</si>
  <si>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</si>
  <si>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</si>
  <si>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</si>
  <si>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</si>
  <si>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</si>
  <si>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</si>
  <si>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</si>
  <si>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</si>
  <si>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</si>
  <si>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</si>
  <si>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</si>
  <si>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</si>
  <si>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</si>
  <si>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</si>
  <si>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</si>
  <si>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</si>
  <si>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</si>
  <si>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</si>
  <si>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</si>
  <si>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</si>
  <si>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</si>
  <si>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</si>
  <si>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</si>
  <si>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</si>
  <si>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</si>
  <si>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</si>
  <si>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</si>
  <si>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</si>
  <si>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</si>
  <si>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</si>
  <si>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</si>
  <si>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</si>
  <si>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</si>
  <si>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</si>
  <si>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</si>
  <si>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</si>
  <si>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</si>
  <si>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</si>
  <si>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</si>
  <si>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</si>
  <si>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</si>
  <si>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</si>
  <si>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</si>
  <si>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</si>
  <si>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</si>
  <si>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</si>
  <si>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</si>
  <si>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</si>
  <si>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</si>
  <si>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</si>
  <si>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</si>
  <si>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</si>
  <si>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</si>
  <si>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</si>
  <si>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</si>
  <si>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</si>
  <si>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</si>
  <si>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</si>
  <si>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</si>
  <si>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</si>
  <si>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</si>
  <si>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</si>
  <si>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</si>
  <si>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</si>
  <si>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</si>
  <si>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</si>
  <si>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</si>
  <si>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</si>
  <si>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</si>
  <si>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</si>
  <si>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</si>
  <si>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</si>
  <si>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</si>
  <si>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</si>
  <si>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</si>
  <si>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</si>
  <si>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</si>
  <si>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</si>
  <si>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</si>
  <si>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</si>
  <si>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</si>
  <si>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</si>
  <si>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</si>
  <si>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</si>
  <si>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</si>
  <si>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</si>
  <si>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</si>
  <si>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</si>
  <si>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</si>
  <si>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</si>
  <si>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</si>
  <si>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</si>
  <si>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</si>
  <si>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</si>
  <si>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</si>
  <si>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</si>
  <si>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</si>
  <si>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</si>
  <si>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</si>
  <si>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</si>
  <si>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</si>
  <si>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</si>
  <si>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</si>
  <si>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</si>
  <si>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</si>
  <si>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</si>
  <si>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</si>
  <si>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</si>
  <si>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</si>
  <si>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</si>
  <si>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</si>
  <si>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</si>
  <si>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</si>
  <si>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</si>
  <si>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</si>
  <si>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</si>
  <si>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</si>
  <si>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</si>
  <si>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</si>
  <si>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</si>
  <si>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</si>
  <si>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</si>
  <si>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</si>
  <si>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</si>
  <si>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</si>
  <si>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</si>
  <si>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</si>
  <si>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</si>
  <si>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</si>
  <si>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</si>
  <si>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</si>
  <si>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</si>
  <si>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</si>
  <si>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</si>
  <si>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</si>
  <si>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</si>
  <si>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</si>
  <si>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</si>
  <si>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</si>
  <si>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</si>
  <si>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</si>
  <si>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</si>
  <si>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</si>
  <si>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</si>
  <si>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</si>
  <si>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</si>
  <si>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</si>
  <si>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</si>
  <si>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</si>
  <si>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</si>
  <si>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</si>
  <si>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</si>
  <si>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</si>
  <si>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</si>
  <si>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</si>
  <si>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</si>
  <si>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</si>
  <si>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</si>
  <si>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</si>
  <si>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</si>
  <si>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</si>
  <si>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</si>
  <si>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</si>
  <si>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</si>
  <si>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</si>
  <si>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</si>
  <si>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</si>
  <si>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</si>
  <si>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</si>
  <si>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</si>
  <si>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</si>
  <si>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</si>
  <si>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</si>
  <si>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</si>
  <si>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</si>
  <si>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</si>
  <si>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</si>
  <si>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</si>
  <si>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</si>
  <si>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</si>
  <si>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</si>
  <si>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</si>
  <si>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</si>
  <si>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</si>
  <si>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</si>
  <si>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</si>
  <si>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</si>
  <si>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</si>
  <si>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</si>
  <si>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</si>
  <si>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</si>
  <si>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</si>
  <si>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</si>
  <si>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</si>
  <si>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</si>
  <si>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</si>
  <si>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</si>
  <si>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</si>
  <si>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</si>
  <si>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</si>
  <si>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</si>
  <si>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</si>
  <si>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</si>
  <si>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</si>
  <si>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</si>
  <si>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</si>
  <si>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</si>
  <si>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</si>
  <si>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</si>
  <si>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</si>
  <si>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</si>
  <si>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</si>
  <si>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</si>
  <si>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</si>
  <si>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</si>
  <si>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</si>
  <si>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</si>
  <si>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</si>
  <si>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</si>
  <si>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</si>
  <si>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</si>
  <si>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</si>
  <si>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</si>
  <si>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</si>
  <si>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</si>
  <si>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</si>
  <si>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</si>
  <si>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</si>
  <si>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</si>
  <si>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</si>
  <si>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</si>
  <si>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</si>
  <si>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</si>
  <si>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</si>
  <si>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</si>
  <si>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</si>
  <si>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</si>
  <si>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</si>
  <si>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</si>
  <si>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</si>
  <si>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</si>
  <si>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</si>
  <si>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</si>
  <si>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</si>
  <si>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</si>
  <si>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</si>
  <si>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</si>
  <si>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</si>
  <si>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</si>
  <si>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</si>
  <si>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</si>
  <si>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</si>
  <si>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</si>
  <si>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</si>
  <si>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</si>
  <si>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</si>
  <si>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</si>
  <si>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</si>
  <si>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</si>
  <si>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</si>
  <si>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</si>
  <si>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</si>
  <si>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</si>
  <si>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</si>
  <si>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</si>
  <si>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</si>
  <si>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</si>
  <si>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</si>
  <si>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</si>
  <si>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</si>
  <si>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</si>
  <si>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</si>
  <si>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</si>
  <si>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</si>
  <si>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</si>
  <si>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</si>
  <si>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</si>
  <si>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</si>
  <si>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</si>
  <si>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</si>
  <si>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</si>
  <si>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</si>
  <si>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</si>
  <si>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</si>
  <si>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</si>
  <si>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</si>
  <si>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</si>
  <si>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</si>
  <si>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</si>
  <si>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</si>
  <si>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</si>
  <si>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</si>
  <si>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</si>
  <si>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</si>
  <si>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</si>
  <si>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</si>
  <si>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</si>
  <si>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</si>
  <si>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</si>
  <si>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</si>
  <si>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</si>
  <si>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</si>
  <si>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</si>
  <si>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</si>
  <si>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</si>
  <si>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</si>
  <si>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</si>
  <si>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</si>
  <si>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</si>
  <si>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</si>
  <si>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</si>
  <si>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</si>
  <si>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</si>
  <si>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</si>
  <si>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</si>
  <si>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</si>
  <si>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</si>
  <si>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</si>
  <si>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</si>
  <si>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</si>
  <si>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</si>
  <si>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</si>
  <si>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</si>
  <si>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</si>
  <si>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</si>
  <si>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</si>
  <si>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</si>
  <si>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</si>
  <si>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</si>
  <si>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</si>
  <si>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</si>
  <si>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</si>
  <si>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</si>
  <si>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</si>
  <si>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</si>
  <si>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</si>
  <si>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</si>
  <si>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</si>
  <si>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</si>
  <si>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</si>
  <si>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</si>
  <si>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</si>
  <si>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</si>
  <si>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</si>
  <si>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</si>
  <si>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</si>
  <si>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</si>
  <si>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</si>
  <si>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</si>
  <si>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</si>
  <si>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</si>
  <si>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</si>
  <si>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</si>
  <si>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</si>
  <si>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</si>
  <si>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</si>
  <si>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</si>
  <si>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</si>
  <si>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</si>
  <si>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</si>
  <si>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</si>
  <si>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</si>
  <si>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</si>
  <si>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</si>
  <si>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</si>
  <si>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</si>
  <si>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</si>
  <si>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</si>
  <si>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</si>
  <si>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</si>
  <si>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</si>
  <si>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</si>
  <si>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</si>
  <si>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</si>
  <si>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</si>
  <si>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</si>
  <si>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</si>
  <si>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</si>
  <si>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</si>
  <si>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</si>
  <si>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</si>
  <si>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</si>
  <si>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</si>
  <si>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</si>
  <si>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</si>
  <si>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</si>
  <si>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</si>
  <si>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</si>
  <si>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</si>
  <si>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</si>
  <si>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</si>
  <si>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</si>
  <si>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</si>
  <si>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</si>
  <si>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</si>
  <si>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</si>
  <si>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</si>
  <si>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</si>
  <si>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</si>
  <si>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</si>
  <si>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</si>
  <si>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</si>
  <si>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</si>
  <si>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</si>
  <si>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</si>
  <si>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</si>
  <si>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</si>
  <si>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</si>
  <si>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</si>
  <si>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</si>
  <si>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</si>
  <si>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</si>
  <si>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</si>
  <si>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</si>
  <si>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</si>
  <si>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</si>
  <si>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</si>
  <si>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</si>
  <si>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</si>
  <si>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</si>
  <si>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</si>
  <si>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</si>
  <si>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</si>
  <si>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</si>
  <si>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</si>
  <si>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</si>
  <si>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</si>
  <si>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</si>
  <si>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</si>
  <si>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</si>
  <si>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</si>
  <si>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</si>
  <si>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</si>
  <si>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</si>
  <si>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</si>
  <si>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</si>
  <si>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</si>
  <si>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</si>
  <si>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</si>
  <si>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</si>
  <si>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</si>
  <si>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</si>
  <si>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</si>
  <si>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</si>
  <si>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</si>
  <si>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</si>
  <si>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</si>
  <si>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</si>
  <si>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</si>
  <si>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</si>
  <si>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</si>
  <si>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</si>
  <si>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</si>
  <si>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</si>
  <si>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</si>
  <si>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</si>
  <si>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</si>
  <si>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</si>
  <si>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</si>
  <si>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</si>
  <si>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</si>
  <si>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</si>
  <si>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</si>
  <si>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</si>
  <si>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</si>
  <si>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</si>
  <si>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</si>
  <si>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</si>
  <si>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</si>
  <si>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</si>
  <si>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</si>
  <si>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</si>
  <si>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</si>
  <si>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</si>
  <si>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</si>
  <si>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</si>
  <si>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</si>
  <si>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</si>
  <si>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</si>
  <si>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</si>
  <si>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</si>
  <si>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</si>
  <si>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</si>
  <si>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</si>
  <si>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</si>
  <si>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</si>
  <si>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</si>
  <si>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</si>
  <si>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</si>
  <si>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</si>
  <si>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</si>
  <si>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</si>
  <si>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</si>
  <si>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</si>
  <si>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</si>
  <si>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</si>
  <si>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</si>
  <si>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</si>
  <si>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</si>
  <si>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</si>
  <si>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</si>
  <si>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</si>
  <si>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</si>
  <si>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</si>
  <si>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</si>
  <si>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</si>
  <si>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</si>
  <si>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</si>
  <si>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</si>
  <si>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</si>
  <si>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</si>
  <si>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</si>
  <si>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</si>
  <si>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</si>
  <si>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</si>
  <si>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</si>
  <si>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</si>
  <si>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</si>
  <si>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</si>
  <si>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</si>
  <si>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</si>
  <si>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</si>
  <si>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</si>
  <si>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</si>
  <si>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</si>
  <si>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</si>
  <si>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</si>
  <si>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</si>
  <si>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</si>
  <si>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</si>
  <si>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</si>
  <si>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</si>
  <si>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</si>
  <si>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</si>
  <si>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</si>
  <si>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</si>
  <si>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</si>
  <si>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</si>
  <si>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</si>
  <si>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</si>
  <si>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</si>
  <si>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</si>
  <si>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</si>
  <si>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</si>
  <si>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</si>
  <si>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</si>
  <si>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</si>
  <si>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</si>
  <si>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</si>
  <si>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</si>
  <si>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</si>
  <si>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</si>
  <si>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</si>
  <si>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</si>
  <si>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</si>
  <si>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</si>
  <si>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</si>
  <si>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</si>
  <si>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</si>
  <si>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</si>
  <si>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</si>
  <si>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</si>
  <si>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</si>
  <si>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</si>
  <si>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</si>
  <si>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</si>
  <si>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</si>
  <si>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</si>
  <si>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</si>
  <si>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</si>
  <si>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</si>
  <si>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</si>
  <si>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</si>
  <si>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</si>
  <si>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</si>
  <si>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</si>
  <si>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</si>
  <si>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</si>
  <si>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</si>
  <si>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</si>
  <si>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</si>
  <si>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</si>
  <si>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</si>
  <si>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</si>
  <si>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</si>
  <si>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</si>
  <si>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</si>
  <si>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</si>
  <si>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</si>
  <si>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</si>
  <si>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</si>
  <si>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</si>
  <si>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</si>
  <si>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</si>
  <si>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</si>
  <si>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</si>
  <si>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</si>
  <si>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</si>
  <si>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</si>
  <si>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</si>
  <si>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</si>
  <si>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</si>
  <si>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</si>
  <si>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</si>
  <si>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</si>
  <si>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</si>
  <si>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</si>
  <si>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</si>
  <si>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</si>
  <si>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</si>
  <si>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</si>
  <si>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</si>
  <si>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</si>
  <si>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</si>
  <si>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</si>
  <si>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</si>
  <si>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</si>
  <si>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</si>
  <si>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</si>
  <si>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</si>
  <si>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</si>
  <si>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</si>
  <si>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</si>
  <si>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</si>
  <si>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</si>
  <si>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</si>
  <si>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</si>
  <si>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</si>
  <si>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</si>
  <si>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</si>
  <si>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</si>
  <si>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</si>
  <si>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</si>
  <si>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</si>
  <si>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</si>
  <si>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</si>
  <si>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</si>
  <si>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</si>
  <si>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</si>
  <si>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</si>
  <si>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</si>
  <si>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</si>
  <si>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</si>
  <si>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</si>
  <si>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</si>
  <si>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</si>
  <si>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</si>
  <si>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</si>
  <si>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</si>
  <si>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</si>
  <si>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</si>
  <si>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</si>
  <si>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</si>
  <si>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</si>
  <si>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</si>
  <si>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</si>
  <si>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</si>
  <si>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</si>
  <si>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</si>
  <si>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</si>
  <si>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</si>
  <si>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</si>
  <si>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</si>
  <si>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</si>
  <si>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</si>
  <si>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</si>
  <si>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</si>
  <si>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</si>
  <si>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</si>
  <si>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</si>
  <si>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</si>
  <si>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</si>
  <si>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</si>
  <si>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</si>
  <si>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</si>
  <si>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</si>
  <si>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</si>
  <si>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</si>
  <si>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</si>
  <si>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</si>
  <si>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</si>
  <si>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</si>
  <si>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</si>
  <si>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</si>
  <si>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</si>
  <si>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</si>
  <si>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</si>
  <si>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</si>
  <si>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</si>
  <si>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</si>
  <si>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</si>
  <si>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</si>
  <si>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</si>
  <si>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</si>
  <si>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</si>
  <si>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</si>
  <si>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</si>
  <si>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</si>
  <si>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</si>
  <si>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</si>
  <si>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</si>
  <si>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</si>
  <si>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</si>
  <si>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</si>
  <si>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</si>
  <si>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</si>
  <si>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</si>
  <si>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</si>
  <si>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</si>
  <si>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</si>
  <si>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</si>
  <si>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</si>
  <si>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</si>
  <si>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</si>
  <si>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</si>
  <si>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</si>
  <si>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</si>
  <si>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</si>
  <si>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</si>
  <si>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</si>
  <si>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</si>
  <si>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</si>
  <si>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</si>
  <si>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</si>
  <si>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</si>
  <si>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</si>
  <si>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</si>
  <si>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</si>
  <si>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</si>
  <si>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</si>
  <si>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</si>
  <si>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</si>
  <si>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</si>
  <si>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</si>
  <si>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</si>
  <si>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</si>
  <si>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</si>
  <si>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</si>
  <si>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</si>
  <si>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</si>
  <si>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</si>
  <si>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</si>
  <si>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</si>
  <si>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</si>
  <si>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</si>
  <si>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</si>
  <si>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</si>
  <si>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</si>
  <si>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</si>
  <si>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</si>
  <si>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</si>
  <si>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</si>
  <si>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</si>
  <si>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</si>
  <si>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</si>
  <si>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</si>
  <si>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</si>
  <si>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</si>
  <si>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</si>
  <si>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</si>
  <si>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</si>
  <si>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</si>
  <si>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</si>
  <si>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</si>
  <si>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</si>
  <si>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</si>
  <si>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</si>
  <si>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</si>
  <si>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</si>
  <si>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</si>
  <si>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</si>
  <si>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</si>
  <si>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</si>
  <si>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</si>
  <si>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</si>
  <si>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</si>
  <si>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</si>
  <si>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</si>
  <si>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</si>
  <si>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</si>
  <si>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</si>
  <si>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</si>
  <si>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</si>
  <si>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</si>
  <si>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</si>
  <si>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</si>
  <si>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</si>
  <si>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</si>
  <si>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</si>
  <si>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</si>
  <si>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</si>
  <si>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</si>
  <si>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</si>
  <si>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</si>
  <si>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</si>
  <si>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</si>
  <si>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</si>
  <si>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</si>
  <si>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</si>
  <si>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</si>
  <si>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</si>
  <si>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</si>
  <si>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</si>
  <si>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</si>
  <si>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</si>
  <si>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</si>
  <si>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</si>
  <si>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</si>
  <si>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</si>
  <si>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</si>
  <si>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</si>
  <si>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</si>
  <si>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</si>
  <si>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</si>
  <si>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</si>
  <si>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</si>
  <si>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</si>
  <si>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</si>
  <si>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</si>
  <si>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</si>
  <si>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</si>
  <si>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</si>
  <si>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</si>
  <si>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</si>
  <si>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</si>
  <si>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</si>
  <si>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</si>
  <si>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</si>
  <si>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</si>
  <si>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</si>
  <si>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</si>
  <si>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</si>
  <si>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</si>
  <si>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</si>
  <si>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</si>
  <si>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</si>
  <si>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</si>
  <si>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</si>
  <si>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</si>
  <si>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</si>
  <si>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</si>
  <si>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</si>
  <si>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</si>
  <si>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</si>
  <si>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</si>
  <si>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</si>
  <si>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</si>
  <si>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</si>
  <si>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</si>
  <si>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</si>
  <si>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</si>
  <si>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</si>
  <si>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</si>
  <si>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</si>
  <si>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</si>
  <si>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</si>
  <si>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</si>
  <si>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</si>
  <si>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</si>
  <si>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</si>
  <si>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</si>
  <si>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</si>
  <si>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</si>
  <si>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</si>
  <si>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</si>
  <si>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</si>
  <si>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</si>
  <si>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</si>
  <si>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</si>
  <si>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</si>
  <si>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</si>
  <si>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</si>
  <si>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</si>
  <si>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</si>
  <si>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</si>
  <si>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</si>
  <si>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</si>
  <si>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</si>
  <si>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</si>
  <si>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</si>
  <si>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</si>
  <si>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</si>
  <si>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</si>
  <si>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</si>
  <si>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</si>
  <si>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</si>
  <si>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</si>
  <si>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</si>
  <si>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</si>
  <si>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</si>
  <si>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</si>
  <si>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</si>
  <si>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</si>
  <si>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</si>
  <si>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</si>
  <si>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</si>
  <si>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</si>
  <si>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</si>
  <si>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</si>
  <si>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</si>
  <si>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</si>
  <si>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</si>
  <si>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</si>
  <si>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</si>
  <si>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</si>
  <si>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</si>
  <si>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</si>
  <si>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</si>
  <si>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</si>
  <si>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</si>
  <si>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</si>
  <si>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</si>
  <si>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</si>
  <si>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</si>
  <si>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</si>
  <si>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</si>
  <si>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</si>
  <si>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</si>
  <si>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</si>
  <si>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</si>
  <si>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</si>
  <si>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</si>
  <si>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</si>
  <si>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</si>
  <si>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</si>
  <si>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</si>
  <si>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</si>
  <si>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</si>
  <si>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</si>
  <si>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</si>
  <si>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</si>
  <si>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</si>
  <si>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</si>
  <si>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</si>
  <si>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</si>
  <si>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</si>
  <si>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</si>
  <si>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</si>
  <si>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</si>
  <si>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</si>
  <si>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</si>
  <si>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</si>
  <si>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</si>
  <si>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</si>
  <si>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</si>
  <si>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</si>
  <si>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</si>
  <si>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</si>
  <si>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</si>
  <si>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</si>
  <si>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</si>
  <si>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</si>
  <si>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</si>
  <si>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</si>
  <si>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</si>
  <si>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</si>
  <si>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</si>
  <si>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</si>
  <si>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</si>
  <si>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</si>
  <si>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</si>
  <si>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</si>
  <si>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</si>
  <si>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</si>
  <si>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</si>
  <si>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</si>
  <si>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</si>
  <si>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</si>
  <si>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</si>
  <si>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</si>
  <si>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</si>
  <si>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</si>
  <si>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</si>
  <si>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</si>
  <si>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</si>
  <si>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</si>
  <si>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</si>
  <si>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</si>
  <si>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</si>
  <si>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</si>
  <si>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</si>
  <si>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</si>
  <si>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</si>
  <si>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</si>
  <si>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</si>
  <si>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</si>
  <si>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</si>
  <si>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</si>
  <si>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</si>
  <si>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</si>
  <si>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</si>
  <si>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</si>
  <si>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</si>
  <si>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</si>
  <si>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</si>
  <si>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</si>
  <si>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</si>
  <si>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</si>
  <si>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</si>
  <si>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</si>
  <si>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</si>
  <si>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</si>
  <si>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</si>
  <si>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</si>
  <si>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</si>
  <si>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</si>
  <si>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</si>
  <si>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</si>
  <si>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</si>
  <si>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</si>
  <si>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</si>
  <si>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</si>
  <si>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</si>
  <si>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</si>
  <si>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</si>
  <si>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</si>
  <si>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</si>
  <si>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</si>
  <si>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</si>
  <si>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</si>
  <si>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</si>
  <si>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</si>
  <si>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</si>
  <si>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</si>
  <si>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</si>
  <si>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</si>
  <si>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</si>
  <si>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</si>
  <si>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</si>
  <si>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</si>
  <si>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</si>
  <si>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</si>
  <si>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</si>
  <si>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</si>
  <si>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</si>
  <si>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</si>
  <si>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</si>
  <si>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</si>
  <si>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</si>
  <si>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</si>
  <si>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</si>
  <si>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</si>
  <si>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</si>
  <si>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</si>
  <si>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</si>
  <si>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</si>
  <si>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</si>
  <si>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</si>
  <si>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</si>
  <si>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</si>
  <si>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</si>
  <si>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</si>
  <si>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</si>
  <si>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</si>
  <si>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</si>
  <si>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</si>
  <si>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</si>
  <si>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</si>
  <si>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</si>
  <si>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</si>
  <si>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</si>
  <si>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</si>
  <si>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</si>
  <si>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</si>
  <si>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</si>
  <si>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</si>
  <si>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</si>
  <si>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</si>
  <si>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</si>
  <si>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</si>
  <si>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</si>
  <si>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</si>
  <si>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</si>
  <si>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</si>
  <si>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</si>
  <si>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</si>
  <si>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</si>
  <si>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</si>
  <si>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</si>
  <si>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</si>
  <si>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</si>
  <si>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</si>
  <si>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</si>
  <si>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</si>
  <si>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</si>
  <si>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</si>
  <si>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</si>
  <si>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</si>
  <si>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</si>
  <si>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</si>
  <si>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</si>
  <si>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</si>
  <si>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</si>
  <si>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</si>
  <si>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</si>
  <si>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</si>
  <si>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</si>
  <si>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</si>
  <si>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</si>
  <si>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</si>
  <si>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</si>
  <si>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</si>
  <si>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</si>
  <si>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</si>
  <si>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</si>
  <si>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</si>
  <si>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</si>
  <si>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</si>
  <si>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</si>
  <si>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</si>
  <si>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</si>
  <si>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</si>
  <si>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</si>
  <si>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</si>
  <si>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</si>
  <si>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</si>
  <si>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</si>
  <si>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</si>
  <si>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</si>
  <si>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</si>
  <si>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</si>
  <si>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</si>
  <si>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</si>
  <si>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</si>
  <si>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</si>
  <si>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</si>
  <si>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</si>
  <si>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</si>
  <si>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</si>
  <si>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</si>
  <si>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</si>
  <si>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</si>
  <si>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</si>
  <si>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</si>
  <si>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</si>
  <si>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</si>
  <si>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</si>
  <si>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</si>
  <si>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</si>
  <si>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</si>
  <si>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</si>
  <si>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</si>
  <si>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</si>
  <si>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</si>
  <si>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</si>
  <si>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</si>
  <si>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</si>
  <si>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</si>
  <si>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</si>
  <si>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</si>
  <si>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</si>
  <si>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</si>
  <si>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</si>
  <si>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</si>
  <si>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</si>
  <si>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</si>
  <si>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</si>
  <si>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</si>
  <si>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</si>
  <si>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</si>
  <si>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</si>
  <si>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</si>
  <si>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</si>
  <si>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</si>
  <si>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</si>
  <si>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</si>
  <si>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</si>
  <si>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</si>
  <si>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</si>
  <si>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</si>
  <si>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</si>
  <si>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</si>
  <si>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</si>
  <si>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</si>
  <si>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</si>
  <si>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</si>
  <si>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</si>
  <si>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</si>
  <si>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</si>
  <si>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</si>
  <si>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</si>
  <si>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</si>
  <si>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</si>
  <si>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</si>
  <si>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</si>
  <si>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</si>
  <si>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</si>
  <si>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</si>
  <si>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</si>
  <si>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</si>
  <si>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</si>
  <si>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</si>
  <si>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</si>
  <si>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</si>
  <si>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</si>
  <si>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</si>
  <si>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</si>
  <si>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</si>
  <si>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</si>
  <si>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</si>
  <si>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</si>
  <si>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</si>
  <si>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</si>
  <si>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</si>
  <si>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</si>
  <si>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</si>
  <si>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</si>
  <si>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</si>
  <si>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</si>
  <si>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</si>
  <si>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</si>
  <si>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</si>
  <si>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</si>
  <si>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</si>
  <si>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</si>
  <si>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</si>
  <si>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</si>
  <si>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</si>
  <si>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</si>
  <si>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</si>
  <si>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</si>
  <si>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</si>
  <si>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</si>
  <si>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</si>
  <si>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</si>
  <si>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</si>
  <si>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</si>
  <si>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</si>
  <si>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</si>
  <si>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</si>
  <si>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</si>
  <si>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</si>
  <si>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</si>
  <si>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</si>
  <si>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</si>
  <si>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</si>
  <si>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</si>
  <si>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</si>
  <si>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</si>
  <si>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</si>
  <si>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</si>
  <si>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</si>
  <si>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</si>
  <si>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</si>
  <si>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</si>
  <si>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</si>
  <si>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</si>
  <si>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</si>
  <si>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</si>
  <si>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</si>
  <si>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</si>
  <si>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</si>
  <si>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</si>
  <si>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</si>
  <si>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</si>
  <si>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</si>
  <si>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</si>
  <si>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</si>
  <si>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</si>
  <si>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</si>
  <si>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</si>
  <si>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</si>
  <si>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</si>
  <si>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</si>
  <si>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</si>
  <si>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</si>
  <si>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</si>
  <si>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</si>
  <si>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</si>
  <si>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</si>
  <si>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</si>
  <si>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</si>
  <si>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</si>
  <si>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</si>
  <si>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</si>
  <si>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</si>
  <si>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</si>
  <si>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</si>
  <si>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</si>
  <si>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</si>
  <si>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</si>
  <si>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</si>
  <si>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</si>
  <si>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</si>
  <si>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</si>
  <si>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</si>
  <si>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</si>
  <si>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</si>
  <si>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</si>
  <si>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</si>
  <si>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</si>
  <si>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</si>
  <si>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</si>
  <si>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</si>
  <si>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</si>
  <si>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</si>
  <si>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</si>
  <si>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</si>
  <si>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</si>
  <si>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</si>
  <si>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</si>
  <si>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</si>
  <si>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</si>
  <si>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</si>
  <si>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</si>
  <si>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</si>
  <si>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</si>
  <si>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</si>
  <si>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</si>
  <si>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</si>
  <si>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</si>
  <si>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</si>
  <si>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</si>
  <si>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</si>
  <si>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</si>
  <si>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</si>
  <si>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</si>
  <si>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</si>
  <si>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</si>
  <si>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</si>
  <si>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</si>
  <si>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</si>
  <si>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</si>
  <si>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</si>
  <si>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</si>
  <si>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</si>
  <si>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</si>
  <si>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</si>
  <si>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</si>
  <si>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</si>
  <si>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</si>
  <si>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</si>
  <si>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</si>
  <si>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</si>
  <si>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</si>
  <si>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</si>
  <si>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</si>
  <si>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</si>
  <si>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</si>
  <si>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</si>
  <si>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</si>
  <si>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</si>
  <si>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</si>
  <si>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</si>
  <si>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</si>
  <si>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</si>
  <si>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</si>
  <si>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</si>
  <si>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</si>
  <si>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</si>
  <si>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</si>
  <si>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</si>
  <si>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</si>
  <si>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</si>
  <si>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</si>
  <si>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</si>
  <si>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</si>
  <si>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</si>
  <si>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</si>
  <si>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</si>
  <si>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</si>
  <si>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</si>
  <si>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</si>
  <si>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</si>
  <si>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</si>
  <si>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</si>
  <si>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</si>
  <si>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</si>
  <si>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</si>
  <si>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</si>
  <si>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</si>
  <si>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</si>
  <si>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</si>
  <si>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</si>
  <si>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</si>
  <si>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</si>
  <si>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</si>
  <si>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</si>
  <si>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</si>
  <si>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</si>
  <si>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</si>
  <si>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</si>
  <si>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</si>
  <si>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</si>
  <si>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</si>
  <si>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</si>
  <si>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</si>
  <si>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</si>
  <si>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</si>
  <si>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</si>
  <si>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</si>
  <si>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</si>
  <si>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</si>
  <si>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</si>
  <si>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</si>
  <si>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</si>
  <si>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</si>
  <si>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</si>
  <si>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</si>
  <si>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</si>
  <si>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</si>
  <si>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</si>
  <si>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</si>
  <si>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</si>
  <si>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</si>
  <si>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</si>
  <si>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</si>
  <si>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</si>
  <si>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</si>
  <si>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</si>
  <si>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</si>
  <si>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</si>
  <si>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</si>
  <si>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</si>
  <si>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</si>
  <si>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</si>
  <si>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</si>
  <si>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</si>
  <si>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</si>
  <si>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</si>
  <si>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</si>
  <si>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</si>
  <si>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</si>
  <si>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</si>
  <si>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</si>
  <si>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</si>
  <si>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</si>
  <si>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</si>
  <si>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</si>
  <si>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</si>
  <si>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</si>
  <si>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</si>
  <si>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</si>
  <si>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</si>
  <si>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</si>
  <si>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</si>
  <si>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</si>
  <si>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</si>
  <si>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</si>
  <si>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</si>
  <si>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</si>
  <si>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</si>
  <si>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</si>
  <si>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</si>
  <si>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</si>
  <si>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</si>
  <si>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</si>
  <si>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</si>
  <si>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</si>
  <si>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</si>
  <si>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</si>
  <si>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</si>
  <si>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</si>
  <si>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</si>
  <si>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</si>
  <si>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</si>
  <si>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</si>
  <si>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</si>
  <si>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</si>
  <si>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</si>
  <si>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</si>
  <si>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</si>
  <si>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</si>
  <si>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</si>
  <si>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</si>
  <si>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</si>
  <si>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</si>
  <si>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</si>
  <si>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</si>
  <si>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</si>
  <si>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</si>
  <si>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</si>
  <si>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</si>
  <si>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</si>
  <si>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</si>
  <si>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</si>
  <si>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</si>
  <si>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</si>
  <si>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</si>
  <si>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</si>
  <si>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</si>
  <si>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</si>
  <si>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</si>
  <si>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</si>
  <si>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</si>
  <si>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</si>
  <si>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</si>
  <si>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</si>
  <si>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</si>
  <si>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</si>
  <si>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</si>
  <si>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</si>
  <si>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</si>
  <si>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</si>
  <si>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</si>
  <si>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</si>
  <si>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</si>
  <si>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</si>
  <si>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</si>
  <si>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</si>
  <si>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</si>
  <si>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</si>
  <si>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</si>
  <si>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</si>
  <si>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</si>
  <si>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</si>
  <si>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</si>
  <si>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</si>
  <si>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</si>
  <si>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</si>
  <si>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</si>
  <si>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</si>
  <si>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</si>
  <si>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</si>
  <si>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</si>
  <si>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</si>
  <si>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</si>
  <si>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</si>
  <si>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</si>
  <si>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</si>
  <si>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</si>
  <si>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</si>
  <si>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</si>
  <si>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</si>
  <si>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</si>
  <si>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</si>
  <si>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</si>
  <si>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</si>
  <si>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</si>
  <si>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</si>
  <si>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</si>
  <si>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</si>
  <si>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</si>
  <si>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</si>
  <si>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</si>
  <si>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</si>
  <si>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</si>
  <si>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</si>
  <si>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</si>
  <si>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</si>
  <si>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</si>
  <si>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</si>
  <si>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</si>
  <si>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</si>
  <si>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</si>
  <si>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</si>
  <si>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</si>
  <si>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</si>
  <si>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</si>
  <si>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</si>
  <si>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</si>
  <si>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</si>
  <si>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</si>
  <si>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</si>
  <si>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</si>
  <si>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</si>
  <si>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</si>
  <si>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</si>
  <si>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</si>
  <si>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</si>
  <si>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</si>
  <si>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</si>
  <si>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</si>
  <si>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</si>
  <si>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</si>
  <si>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</si>
  <si>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</si>
  <si>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</si>
  <si>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</si>
  <si>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</si>
  <si>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</si>
  <si>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</si>
  <si>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</si>
  <si>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</si>
  <si>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</si>
  <si>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</si>
  <si>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</si>
  <si>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</si>
  <si>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</si>
  <si>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</si>
  <si>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</si>
  <si>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</si>
  <si>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</si>
  <si>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</si>
  <si>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</si>
  <si>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</si>
  <si>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</si>
  <si>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</si>
  <si>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</si>
  <si>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</si>
  <si>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</si>
  <si>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</si>
  <si>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</si>
  <si>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</si>
  <si>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</si>
  <si>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</si>
  <si>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</si>
  <si>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</si>
  <si>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</si>
  <si>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</si>
  <si>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</si>
  <si>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</si>
  <si>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</si>
  <si>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</si>
  <si>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</si>
  <si>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</si>
  <si>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</si>
  <si>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</si>
  <si>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</si>
  <si>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</si>
  <si>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</si>
  <si>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</si>
  <si>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</si>
  <si>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</si>
  <si>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</si>
  <si>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</si>
  <si>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</si>
  <si>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</si>
  <si>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</si>
  <si>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</si>
  <si>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</si>
  <si>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</si>
  <si>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</si>
  <si>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</si>
  <si>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</si>
  <si>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</si>
  <si>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</si>
  <si>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</si>
  <si>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</si>
  <si>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</si>
  <si>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</si>
  <si>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</si>
  <si>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</si>
  <si>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</si>
  <si>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</si>
  <si>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</si>
  <si>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</si>
  <si>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</si>
  <si>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</si>
  <si>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</si>
  <si>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</si>
  <si>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</si>
  <si>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</si>
  <si>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</si>
  <si>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</si>
  <si>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</si>
  <si>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</si>
  <si>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</si>
  <si>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</si>
  <si>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</si>
  <si>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</si>
  <si>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</si>
  <si>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</si>
  <si>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</si>
  <si>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</si>
  <si>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</si>
  <si>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</si>
  <si>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</si>
  <si>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</si>
  <si>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</si>
  <si>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</si>
  <si>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</si>
  <si>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</si>
  <si>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</si>
  <si>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</si>
  <si>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</si>
  <si>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</si>
  <si>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</si>
  <si>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</si>
  <si>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</si>
  <si>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</si>
  <si>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</si>
  <si>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</si>
  <si>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</si>
  <si>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</si>
  <si>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</si>
  <si>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</si>
  <si>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</si>
  <si>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</si>
  <si>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</si>
  <si>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</si>
  <si>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</si>
  <si>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</si>
  <si>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</si>
  <si>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</si>
  <si>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</si>
  <si>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</si>
  <si>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</si>
  <si>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</si>
  <si>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</si>
  <si>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</si>
  <si>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</si>
  <si>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</si>
  <si>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</si>
  <si>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</si>
  <si>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</si>
  <si>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</si>
  <si>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</si>
  <si>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</si>
  <si>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</si>
  <si>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</si>
  <si>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</si>
  <si>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</si>
  <si>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</si>
  <si>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</si>
  <si>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</si>
  <si>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</si>
  <si>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</si>
  <si>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</si>
  <si>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</si>
  <si>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</si>
  <si>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</si>
  <si>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</si>
  <si>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</si>
  <si>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</si>
  <si>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</si>
  <si>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</si>
  <si>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</si>
  <si>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</si>
  <si>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</si>
  <si>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</si>
  <si>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</si>
  <si>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</si>
  <si>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</si>
  <si>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</si>
  <si>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</si>
  <si>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</si>
  <si>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</si>
  <si>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</si>
  <si>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</si>
  <si>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</si>
  <si>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</si>
  <si>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</si>
  <si>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</si>
  <si>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</si>
  <si>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</si>
  <si>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</si>
  <si>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</si>
  <si>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</si>
  <si>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</si>
  <si>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</si>
  <si>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</si>
  <si>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</si>
  <si>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</si>
  <si>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</si>
  <si>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</si>
  <si>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</si>
  <si>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</si>
  <si>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</si>
  <si>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</si>
  <si>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</si>
  <si>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</si>
  <si>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</si>
  <si>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</si>
  <si>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</si>
  <si>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</si>
  <si>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</si>
  <si>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</si>
  <si>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</si>
  <si>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</si>
  <si>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</si>
  <si>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</si>
  <si>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</si>
  <si>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</si>
  <si>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</si>
  <si>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</si>
  <si>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</si>
  <si>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</si>
  <si>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</si>
  <si>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</si>
  <si>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</si>
  <si>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</si>
  <si>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</si>
  <si>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</si>
  <si>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</si>
  <si>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</si>
  <si>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</si>
  <si>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</si>
  <si>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</si>
  <si>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</si>
  <si>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</si>
  <si>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</si>
  <si>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</si>
  <si>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</si>
  <si>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</si>
  <si>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</si>
  <si>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</si>
  <si>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</si>
  <si>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</si>
  <si>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</si>
  <si>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</si>
  <si>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</si>
  <si>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</si>
  <si>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</si>
  <si>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</si>
  <si>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</si>
  <si>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</si>
  <si>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</si>
  <si>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</si>
  <si>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</si>
  <si>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</si>
  <si>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</si>
  <si>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</si>
  <si>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</si>
  <si>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</si>
  <si>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</si>
  <si>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</si>
  <si>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</si>
  <si>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</si>
  <si>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</si>
  <si>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</si>
  <si>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</si>
  <si>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</si>
  <si>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</si>
  <si>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</si>
  <si>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</si>
  <si>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</si>
  <si>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</si>
  <si>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</si>
  <si>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</si>
  <si>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</si>
  <si>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</si>
  <si>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</si>
  <si>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</si>
  <si>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</si>
  <si>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</si>
  <si>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</si>
  <si>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</si>
  <si>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</si>
  <si>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</si>
  <si>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</si>
  <si>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</si>
  <si>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</si>
  <si>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</si>
  <si>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</si>
  <si>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</si>
  <si>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</si>
  <si>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</si>
  <si>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</si>
  <si>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</si>
  <si>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</si>
  <si>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</si>
  <si>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</si>
  <si>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</si>
  <si>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</si>
  <si>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</si>
  <si>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</si>
  <si>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</si>
  <si>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</si>
  <si>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</si>
  <si>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</si>
  <si>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</si>
  <si>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</si>
  <si>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</si>
  <si>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</si>
  <si>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</si>
  <si>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</si>
  <si>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</si>
  <si>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</si>
  <si>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</si>
  <si>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</si>
  <si>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</si>
  <si>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</si>
  <si>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</si>
  <si>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</si>
  <si>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</si>
  <si>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</si>
  <si>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</si>
  <si>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</si>
  <si>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</si>
  <si>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</si>
  <si>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</si>
  <si>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</si>
  <si>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</si>
  <si>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</si>
  <si>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</si>
  <si>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</si>
  <si>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</si>
  <si>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</si>
  <si>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</si>
  <si>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</si>
  <si>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</si>
  <si>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</si>
  <si>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</si>
  <si>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</si>
  <si>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</si>
  <si>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</si>
  <si>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</si>
  <si>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</si>
  <si>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</si>
  <si>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</si>
  <si>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</si>
  <si>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</si>
  <si>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</si>
  <si>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</si>
  <si>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</si>
  <si>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</si>
  <si>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</si>
  <si>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</si>
  <si>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</si>
  <si>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</si>
  <si>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</si>
  <si>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</si>
  <si>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</si>
  <si>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</si>
  <si>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</si>
  <si>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</si>
  <si>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</si>
  <si>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</si>
  <si>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</si>
  <si>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</si>
  <si>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</si>
  <si>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</si>
  <si>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</si>
  <si>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</si>
  <si>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</si>
  <si>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</si>
  <si>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</si>
  <si>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</si>
  <si>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</si>
  <si>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</si>
  <si>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</si>
  <si>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</si>
  <si>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</si>
  <si>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</si>
  <si>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</si>
  <si>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</si>
  <si>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</si>
  <si>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</si>
  <si>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</si>
  <si>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</si>
  <si>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</si>
  <si>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</si>
  <si>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</si>
  <si>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</si>
  <si>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</si>
  <si>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</si>
  <si>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</si>
  <si>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</si>
  <si>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</si>
  <si>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</si>
  <si>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</si>
  <si>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</si>
  <si>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</si>
  <si>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</si>
  <si>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</si>
  <si>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</si>
  <si>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</si>
  <si>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</si>
  <si>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</si>
  <si>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</si>
  <si>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</si>
  <si>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</si>
  <si>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</si>
  <si>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</si>
  <si>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</si>
  <si>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</si>
  <si>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</si>
  <si>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</si>
  <si>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</si>
  <si>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</si>
  <si>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</si>
  <si>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</si>
  <si>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</si>
  <si>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</si>
  <si>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</si>
  <si>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</si>
  <si>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</si>
  <si>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</si>
  <si>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</si>
  <si>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</si>
  <si>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</si>
  <si>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</si>
  <si>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</si>
  <si>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</si>
  <si>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</si>
  <si>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</si>
  <si>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</si>
  <si>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</si>
  <si>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</si>
  <si>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</si>
  <si>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</si>
  <si>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</si>
  <si>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</si>
  <si>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</si>
  <si>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</si>
  <si>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</si>
  <si>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</si>
  <si>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</si>
  <si>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</si>
  <si>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</si>
  <si>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</si>
  <si>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</si>
  <si>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</si>
  <si>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</si>
  <si>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</si>
  <si>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</si>
  <si>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</si>
  <si>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</si>
  <si>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</si>
  <si>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</si>
  <si>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</si>
  <si>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</si>
  <si>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</si>
  <si>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</si>
  <si>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</si>
  <si>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</si>
  <si>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</si>
  <si>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</si>
  <si>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</si>
  <si>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</si>
  <si>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</si>
  <si>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</si>
  <si>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</si>
  <si>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</si>
  <si>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</si>
  <si>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</si>
  <si>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</si>
  <si>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</si>
  <si>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</si>
  <si>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</si>
  <si>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</si>
  <si>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</si>
  <si>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</si>
  <si>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</si>
  <si>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</si>
  <si>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</si>
  <si>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</si>
  <si>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</si>
  <si>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</si>
  <si>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</si>
  <si>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</si>
  <si>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</si>
  <si>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</si>
  <si>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</si>
  <si>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</si>
  <si>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</si>
  <si>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</si>
  <si>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</si>
  <si>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</si>
  <si>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</si>
  <si>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</si>
  <si>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</si>
  <si>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</si>
  <si>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</si>
  <si>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2.01 от 2017г.</t>
  </si>
  <si>
    <t>b744</t>
  </si>
  <si>
    <t>d622</t>
  </si>
  <si>
    <t>c922</t>
  </si>
  <si>
    <t>Диана Димитрова</t>
  </si>
  <si>
    <t>Атанас Атанасов</t>
  </si>
  <si>
    <t>`045442028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</si>
</sst>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0" sqref="D20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>
        <f>+OTCHET!B9</f>
        <v>0</v>
      </c>
      <c r="C2" s="1677"/>
      <c r="D2" s="1678"/>
      <c r="E2" s="1021"/>
      <c r="F2" s="1022">
        <f>+OTCHET!H9</f>
        <v>0</v>
      </c>
      <c r="G2" s="1023" t="str">
        <f>+OTCHET!F12</f>
        <v>7004</v>
      </c>
      <c r="H2" s="1024"/>
      <c r="I2" s="1679">
        <f>+OTCHET!H603</f>
        <v>0</v>
      </c>
      <c r="J2" s="1680"/>
      <c r="K2" s="1015"/>
      <c r="L2" s="1681">
        <f>OTCHET!H601</f>
        <v>0</v>
      </c>
      <c r="M2" s="1682"/>
      <c r="N2" s="1683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6" t="s">
        <v>1019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43100</v>
      </c>
      <c r="M6" s="1021"/>
      <c r="N6" s="1046" t="s">
        <v>1021</v>
      </c>
      <c r="O6" s="1010"/>
      <c r="P6" s="1047">
        <f>OTCHET!F9</f>
        <v>43100</v>
      </c>
      <c r="Q6" s="1046" t="s">
        <v>1021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8" t="s">
        <v>997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43100</v>
      </c>
      <c r="H9" s="1021"/>
      <c r="I9" s="1071">
        <f>+L4</f>
        <v>2017</v>
      </c>
      <c r="J9" s="1072">
        <f>+L6</f>
        <v>43100</v>
      </c>
      <c r="K9" s="1073"/>
      <c r="L9" s="1074">
        <f>+L6</f>
        <v>43100</v>
      </c>
      <c r="M9" s="1073"/>
      <c r="N9" s="1075">
        <f>+L6</f>
        <v>43100</v>
      </c>
      <c r="O9" s="1076"/>
      <c r="P9" s="1077">
        <f>+L4</f>
        <v>2017</v>
      </c>
      <c r="Q9" s="1075">
        <f>+L6</f>
        <v>43100</v>
      </c>
      <c r="R9" s="1048"/>
      <c r="S9" s="1691" t="s">
        <v>998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1036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1038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1040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1042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1044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1046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1048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1050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1052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1054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1057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1059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1061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1063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1070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1072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1074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1076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1078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1081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1083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1085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1087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1089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1091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12322</v>
      </c>
      <c r="K50" s="1097"/>
      <c r="L50" s="1104">
        <f>+IF($P$2=33,$Q50,0)</f>
        <v>0</v>
      </c>
      <c r="M50" s="1097"/>
      <c r="N50" s="1134">
        <f>+ROUND(+G50+J50+L50,0)</f>
        <v>12322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12322</v>
      </c>
      <c r="R50" s="1048"/>
      <c r="S50" s="1694" t="s">
        <v>1095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102</v>
      </c>
      <c r="K51" s="1097"/>
      <c r="L51" s="1122">
        <f>+IF($P$2=33,$Q51,0)</f>
        <v>0</v>
      </c>
      <c r="M51" s="1097"/>
      <c r="N51" s="1123">
        <f>+ROUND(+G51+J51+L51,0)</f>
        <v>102</v>
      </c>
      <c r="O51" s="1099"/>
      <c r="P51" s="1121">
        <f>+ROUND(+SUM(OTCHET!E216:E218),0)</f>
        <v>0</v>
      </c>
      <c r="Q51" s="1122">
        <f>+ROUND(+SUM(OTCHET!L216:L218),0)</f>
        <v>102</v>
      </c>
      <c r="R51" s="1048"/>
      <c r="S51" s="1697" t="s">
        <v>1097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1099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9853</v>
      </c>
      <c r="K53" s="1097"/>
      <c r="L53" s="1122">
        <f>+IF($P$2=33,$Q53,0)</f>
        <v>0</v>
      </c>
      <c r="M53" s="1097"/>
      <c r="N53" s="1123">
        <f>+ROUND(+G53+J53+L53,0)</f>
        <v>9853</v>
      </c>
      <c r="O53" s="1099"/>
      <c r="P53" s="1121">
        <f>+ROUND(OTCHET!E186+OTCHET!E189,0)</f>
        <v>0</v>
      </c>
      <c r="Q53" s="1122">
        <f>+ROUND(OTCHET!L186+OTCHET!L189,0)</f>
        <v>9853</v>
      </c>
      <c r="R53" s="1048"/>
      <c r="S53" s="1697" t="s">
        <v>1101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299</v>
      </c>
      <c r="K54" s="1097"/>
      <c r="L54" s="1122">
        <f>+IF($P$2=33,$Q54,0)</f>
        <v>0</v>
      </c>
      <c r="M54" s="1097"/>
      <c r="N54" s="1123">
        <f>+ROUND(+G54+J54+L54,0)</f>
        <v>299</v>
      </c>
      <c r="O54" s="1099"/>
      <c r="P54" s="1121">
        <f>+ROUND(OTCHET!E195+OTCHET!E203,0)</f>
        <v>0</v>
      </c>
      <c r="Q54" s="1122">
        <f>+ROUND(OTCHET!L195+OTCHET!L203,0)</f>
        <v>299</v>
      </c>
      <c r="R54" s="1048"/>
      <c r="S54" s="1700" t="s">
        <v>1103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22576</v>
      </c>
      <c r="K55" s="1097"/>
      <c r="L55" s="1210">
        <f>+ROUND(+SUM(L50:L54),0)</f>
        <v>0</v>
      </c>
      <c r="M55" s="1097"/>
      <c r="N55" s="1211">
        <f>+ROUND(+SUM(N50:N54),0)</f>
        <v>22576</v>
      </c>
      <c r="O55" s="1099"/>
      <c r="P55" s="1209">
        <f>+ROUND(+SUM(P50:P54),0)</f>
        <v>0</v>
      </c>
      <c r="Q55" s="1210">
        <f>+ROUND(+SUM(Q50:Q54),0)</f>
        <v>22576</v>
      </c>
      <c r="R55" s="1048"/>
      <c r="S55" s="1703" t="s">
        <v>1105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1108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4000</v>
      </c>
      <c r="K58" s="1097"/>
      <c r="L58" s="1122">
        <f>+IF($P$2=33,$Q58,0)</f>
        <v>0</v>
      </c>
      <c r="M58" s="1097"/>
      <c r="N58" s="1123">
        <f>+ROUND(+G58+J58+L58,0)</f>
        <v>4000</v>
      </c>
      <c r="O58" s="1099"/>
      <c r="P58" s="1121">
        <f>+ROUND(+OTCHET!E275+OTCHET!E276,0)</f>
        <v>0</v>
      </c>
      <c r="Q58" s="1122">
        <f>+ROUND(+OTCHET!L275+OTCHET!L276,0)</f>
        <v>4000</v>
      </c>
      <c r="R58" s="1048"/>
      <c r="S58" s="1697" t="s">
        <v>1110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1112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1114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4000</v>
      </c>
      <c r="K62" s="1097"/>
      <c r="L62" s="1210">
        <f>+ROUND(+SUM(L57:L60),0)</f>
        <v>0</v>
      </c>
      <c r="M62" s="1097"/>
      <c r="N62" s="1211">
        <f>+ROUND(+SUM(N57:N60),0)</f>
        <v>4000</v>
      </c>
      <c r="O62" s="1099"/>
      <c r="P62" s="1209">
        <f>+ROUND(+SUM(P57:P60),0)</f>
        <v>0</v>
      </c>
      <c r="Q62" s="1210">
        <f>+ROUND(+SUM(Q57:Q60),0)</f>
        <v>4000</v>
      </c>
      <c r="R62" s="1048"/>
      <c r="S62" s="1703" t="s">
        <v>1118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1121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1123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1125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1128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1130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1132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1135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1137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1139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26576</v>
      </c>
      <c r="K76" s="1097"/>
      <c r="L76" s="1235">
        <f>+ROUND(L55+L62+L66+L70+L74,0)</f>
        <v>0</v>
      </c>
      <c r="M76" s="1097"/>
      <c r="N76" s="1236">
        <f>+ROUND(N55+N62+N66+N70+N74,0)</f>
        <v>26576</v>
      </c>
      <c r="O76" s="1099"/>
      <c r="P76" s="1233">
        <f>+ROUND(P55+P62+P66+P70+P74,0)</f>
        <v>0</v>
      </c>
      <c r="Q76" s="1234">
        <f>+ROUND(Q55+Q62+Q66+Q70+Q74,0)</f>
        <v>26576</v>
      </c>
      <c r="R76" s="1048"/>
      <c r="S76" s="1718" t="s">
        <v>1141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39810</v>
      </c>
      <c r="K78" s="1097"/>
      <c r="L78" s="1110">
        <f>+IF($P$2=33,$Q78,0)</f>
        <v>0</v>
      </c>
      <c r="M78" s="1097"/>
      <c r="N78" s="1111">
        <f>+ROUND(+G78+J78+L78,0)</f>
        <v>39810</v>
      </c>
      <c r="O78" s="1099"/>
      <c r="P78" s="1109">
        <f>+ROUND(OTCHET!E415,0)</f>
        <v>0</v>
      </c>
      <c r="Q78" s="1110">
        <f>+ROUND(OTCHET!L415,0)</f>
        <v>39810</v>
      </c>
      <c r="R78" s="1048"/>
      <c r="S78" s="1694" t="s">
        <v>1144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26576</v>
      </c>
      <c r="K79" s="1097"/>
      <c r="L79" s="1122">
        <f>+IF($P$2=33,$Q79,0)</f>
        <v>0</v>
      </c>
      <c r="M79" s="1097"/>
      <c r="N79" s="1123">
        <f>+ROUND(+G79+J79+L79,0)</f>
        <v>26576</v>
      </c>
      <c r="O79" s="1099"/>
      <c r="P79" s="1121">
        <f>+ROUND(OTCHET!E425,0)</f>
        <v>0</v>
      </c>
      <c r="Q79" s="1122">
        <f>+ROUND(OTCHET!L425,0)</f>
        <v>26576</v>
      </c>
      <c r="R79" s="1048"/>
      <c r="S79" s="1697" t="s">
        <v>1146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66386</v>
      </c>
      <c r="K80" s="1097"/>
      <c r="L80" s="1244">
        <f>+ROUND(L78+L79,0)</f>
        <v>0</v>
      </c>
      <c r="M80" s="1097"/>
      <c r="N80" s="1245">
        <f>+ROUND(N78+N79,0)</f>
        <v>66386</v>
      </c>
      <c r="O80" s="1099"/>
      <c r="P80" s="1243">
        <f>+ROUND(P78+P79,0)</f>
        <v>0</v>
      </c>
      <c r="Q80" s="1244">
        <f>+ROUND(Q78+Q79,0)</f>
        <v>66386</v>
      </c>
      <c r="R80" s="1048"/>
      <c r="S80" s="1721" t="s">
        <v>1148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39810</v>
      </c>
      <c r="K82" s="1097"/>
      <c r="L82" s="1257">
        <f>+ROUND(L47,0)-ROUND(L76,0)+ROUND(L80,0)</f>
        <v>0</v>
      </c>
      <c r="M82" s="1097"/>
      <c r="N82" s="1258">
        <f>+ROUND(N47,0)-ROUND(N76,0)+ROUND(N80,0)</f>
        <v>39810</v>
      </c>
      <c r="O82" s="1259"/>
      <c r="P82" s="1256">
        <f>+ROUND(P47,0)-ROUND(P76,0)+ROUND(P80,0)</f>
        <v>0</v>
      </c>
      <c r="Q82" s="1257">
        <f>+ROUND(Q47,0)-ROUND(Q76,0)+ROUND(Q80,0)</f>
        <v>39810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-39810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-39810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-39810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1154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1156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1158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1161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1163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1165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1167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1169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1172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1174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1176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1178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1182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1184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1186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1189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1191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1193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1196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1198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1200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1203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1205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1207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1209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1212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1216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1218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1" t="s">
        <v>1220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4" t="s">
        <v>1223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1225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39810</v>
      </c>
      <c r="K129" s="1097"/>
      <c r="L129" s="1122">
        <f>+IF($P$2=33,$Q129,0)</f>
        <v>0</v>
      </c>
      <c r="M129" s="1097"/>
      <c r="N129" s="1123">
        <f>+ROUND(+G129+J129+L129,0)</f>
        <v>39810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39810</v>
      </c>
      <c r="R129" s="1048"/>
      <c r="S129" s="1733" t="s">
        <v>1227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39810</v>
      </c>
      <c r="K130" s="1097"/>
      <c r="L130" s="1297">
        <f>+ROUND(+L129-L127-L128,0)</f>
        <v>0</v>
      </c>
      <c r="M130" s="1097"/>
      <c r="N130" s="1298">
        <f>+ROUND(+N129-N127-N128,0)</f>
        <v>39810</v>
      </c>
      <c r="O130" s="1099"/>
      <c r="P130" s="1296">
        <f>+ROUND(+P129-P127-P128,0)</f>
        <v>0</v>
      </c>
      <c r="Q130" s="1297">
        <f>+ROUND(+Q129-Q127-Q128,0)</f>
        <v>39810</v>
      </c>
      <c r="R130" s="1048"/>
      <c r="S130" s="1736" t="s">
        <v>1229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43144</v>
      </c>
      <c r="D132" s="1249" t="s">
        <v>1231</v>
      </c>
      <c r="E132" s="1021"/>
      <c r="F132" s="1740"/>
      <c r="G132" s="1740"/>
      <c r="H132" s="1021"/>
      <c r="I132" s="1306" t="s">
        <v>1232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43100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Твърдица</v>
      </c>
      <c r="C13" s="713"/>
      <c r="D13" s="713"/>
      <c r="E13" s="716" t="str">
        <f>+OTCHET!E12</f>
        <v>код по ЕБК:</v>
      </c>
      <c r="F13" s="233" t="str">
        <f>+OTCHET!F12</f>
        <v>7004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26576</v>
      </c>
      <c r="G38" s="849">
        <f>SUM(G39:G53)-G44-G46-G51-G52</f>
        <v>0</v>
      </c>
      <c r="H38" s="850">
        <f>SUM(H39:H53)-H44-H46-H51-H52</f>
        <v>26576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9853</v>
      </c>
      <c r="G40" s="817">
        <f>OTCHET!I189</f>
        <v>0</v>
      </c>
      <c r="H40" s="818">
        <f>OTCHET!J189</f>
        <v>9853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299</v>
      </c>
      <c r="G41" s="817">
        <f>+OTCHET!I195+OTCHET!I203</f>
        <v>0</v>
      </c>
      <c r="H41" s="818">
        <f>+OTCHET!J195+OTCHET!J203</f>
        <v>299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12424</v>
      </c>
      <c r="G42" s="817">
        <f>+OTCHET!I204+OTCHET!I222+OTCHET!I271</f>
        <v>0</v>
      </c>
      <c r="H42" s="818">
        <f>+OTCHET!J204+OTCHET!J222+OTCHET!J271</f>
        <v>12424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4000</v>
      </c>
      <c r="G48" s="817">
        <f>OTCHET!I275+OTCHET!I276+OTCHET!I284+OTCHET!I287</f>
        <v>0</v>
      </c>
      <c r="H48" s="818">
        <f>OTCHET!J275+OTCHET!J276+OTCHET!J284+OTCHET!J287</f>
        <v>4000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66386</v>
      </c>
      <c r="G54" s="895">
        <f>+G55+G56+G60</f>
        <v>0</v>
      </c>
      <c r="H54" s="896">
        <f>+H55+H56+H60</f>
        <v>66386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66386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66386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26576</v>
      </c>
      <c r="G57" s="908">
        <f>+OTCHET!I418+OTCHET!I419+OTCHET!I420+OTCHET!I421+OTCHET!I422</f>
        <v>0</v>
      </c>
      <c r="H57" s="909">
        <f>+OTCHET!J418+OTCHET!J419+OTCHET!J420+OTCHET!J421+OTCHET!J422</f>
        <v>26576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39810</v>
      </c>
      <c r="G62" s="930">
        <f>+G22-G38+G54-G61</f>
        <v>0</v>
      </c>
      <c r="H62" s="931">
        <f>+H22-H38+H54-H61</f>
        <v>39810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-39810</v>
      </c>
      <c r="G64" s="940">
        <f>SUM(+G66+G74+G75+G82+G83+G84+G87+G88+G89+G90+G91+G92+G93)</f>
        <v>0</v>
      </c>
      <c r="H64" s="941">
        <f>SUM(+H66+H74+H75+H82+H83+H84+H87+H88+H89+H90+H91+H92+H93)</f>
        <v>-39810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-39810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-39810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 t="str">
        <f>+OTCHET!E601</f>
        <v>`045442028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Диана Димитрова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Диана Димитрова</v>
      </c>
      <c r="F112" s="1752"/>
      <c r="G112" s="1004"/>
      <c r="H112" s="690"/>
      <c r="I112" s="1376" t="str">
        <f>+OTCHET!G599</f>
        <v>Атанас Атанасов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638">
      <selection activeCell="E601" sqref="E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РА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/>
      <c r="C9" s="1799"/>
      <c r="D9" s="1800"/>
      <c r="E9" s="115">
        <v>42736</v>
      </c>
      <c r="F9" s="116">
        <v>43100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декември</v>
      </c>
      <c r="G10" s="113"/>
      <c r="H10" s="114"/>
      <c r="I10" s="1845" t="s">
        <v>991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Твърдица</v>
      </c>
      <c r="C12" s="1802"/>
      <c r="D12" s="1803"/>
      <c r="E12" s="118" t="s">
        <v>985</v>
      </c>
      <c r="F12" s="1592" t="s">
        <v>1574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77" t="s">
        <v>2044</v>
      </c>
      <c r="F19" s="1778"/>
      <c r="G19" s="1778"/>
      <c r="H19" s="1779"/>
      <c r="I19" s="1788" t="s">
        <v>2045</v>
      </c>
      <c r="J19" s="1789"/>
      <c r="K19" s="1789"/>
      <c r="L19" s="179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477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479</v>
      </c>
      <c r="D28" s="179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131</v>
      </c>
      <c r="D33" s="179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125</v>
      </c>
      <c r="D39" s="179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4" t="str">
        <f>$B$7</f>
        <v>ОТЧЕТНИ ДАННИ ПО ЕБК ЗА СМЕТКИТЕ ЗА СРЕДСТВАТА ОТ ЕВРОПЕЙСКИЯ СЪЮЗ - РА</v>
      </c>
      <c r="C173" s="1805"/>
      <c r="D173" s="180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1">
        <f>$B$9</f>
        <v>0</v>
      </c>
      <c r="C175" s="1772"/>
      <c r="D175" s="1773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1" t="str">
        <f>$B$12</f>
        <v>Твърдица</v>
      </c>
      <c r="C178" s="1802"/>
      <c r="D178" s="1803"/>
      <c r="E178" s="232" t="s">
        <v>910</v>
      </c>
      <c r="F178" s="233" t="str">
        <f>$F$12</f>
        <v>7004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77" t="s">
        <v>2046</v>
      </c>
      <c r="F182" s="1778"/>
      <c r="G182" s="1778"/>
      <c r="H182" s="1779"/>
      <c r="I182" s="1780" t="s">
        <v>2047</v>
      </c>
      <c r="J182" s="1781"/>
      <c r="K182" s="1781"/>
      <c r="L182" s="178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3" t="s">
        <v>763</v>
      </c>
      <c r="D186" s="1784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3" t="s">
        <v>766</v>
      </c>
      <c r="D189" s="1764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9853</v>
      </c>
      <c r="K189" s="277">
        <f t="shared" si="45"/>
        <v>0</v>
      </c>
      <c r="L189" s="274">
        <f t="shared" si="45"/>
        <v>9853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9853</v>
      </c>
      <c r="K191" s="299">
        <f t="shared" si="46"/>
        <v>0</v>
      </c>
      <c r="L191" s="296">
        <f t="shared" si="46"/>
        <v>9853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65" t="s">
        <v>199</v>
      </c>
      <c r="D195" s="1766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299</v>
      </c>
      <c r="K195" s="277">
        <f t="shared" si="47"/>
        <v>0</v>
      </c>
      <c r="L195" s="274">
        <f t="shared" si="47"/>
        <v>299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150</v>
      </c>
      <c r="K196" s="285">
        <f t="shared" si="48"/>
        <v>0</v>
      </c>
      <c r="L196" s="282">
        <f t="shared" si="48"/>
        <v>150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94</v>
      </c>
      <c r="K199" s="299">
        <f t="shared" si="48"/>
        <v>0</v>
      </c>
      <c r="L199" s="296">
        <f t="shared" si="48"/>
        <v>94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55</v>
      </c>
      <c r="K200" s="299">
        <f t="shared" si="48"/>
        <v>0</v>
      </c>
      <c r="L200" s="296">
        <f t="shared" si="48"/>
        <v>55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7" t="s">
        <v>204</v>
      </c>
      <c r="D203" s="176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12424</v>
      </c>
      <c r="K204" s="277">
        <f t="shared" si="49"/>
        <v>0</v>
      </c>
      <c r="L204" s="311">
        <f t="shared" si="49"/>
        <v>12424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1125</v>
      </c>
      <c r="K209" s="299">
        <f t="shared" si="50"/>
        <v>0</v>
      </c>
      <c r="L209" s="296">
        <f t="shared" si="50"/>
        <v>1125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11197</v>
      </c>
      <c r="K211" s="324">
        <f t="shared" si="50"/>
        <v>0</v>
      </c>
      <c r="L211" s="321">
        <f t="shared" si="50"/>
        <v>11197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102</v>
      </c>
      <c r="K216" s="324">
        <f t="shared" si="51"/>
        <v>0</v>
      </c>
      <c r="L216" s="321">
        <f t="shared" si="51"/>
        <v>102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5" t="s">
        <v>279</v>
      </c>
      <c r="D222" s="175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5" t="s">
        <v>741</v>
      </c>
      <c r="D226" s="175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5" t="s">
        <v>224</v>
      </c>
      <c r="D232" s="175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5" t="s">
        <v>226</v>
      </c>
      <c r="D235" s="175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1686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5" t="s">
        <v>229</v>
      </c>
      <c r="D239" s="175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5" t="s">
        <v>241</v>
      </c>
      <c r="D255" s="175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5" t="s">
        <v>242</v>
      </c>
      <c r="D256" s="175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5" t="s">
        <v>243</v>
      </c>
      <c r="D257" s="175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5" t="s">
        <v>244</v>
      </c>
      <c r="D258" s="175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5" t="s">
        <v>1691</v>
      </c>
      <c r="D265" s="175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5" t="s">
        <v>1688</v>
      </c>
      <c r="D269" s="175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5" t="s">
        <v>1689</v>
      </c>
      <c r="D270" s="175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5" t="s">
        <v>280</v>
      </c>
      <c r="D272" s="175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3" t="s">
        <v>255</v>
      </c>
      <c r="D275" s="175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3" t="s">
        <v>256</v>
      </c>
      <c r="D276" s="175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4000</v>
      </c>
      <c r="K276" s="277">
        <f t="shared" si="70"/>
        <v>0</v>
      </c>
      <c r="L276" s="311">
        <f t="shared" si="70"/>
        <v>4000</v>
      </c>
      <c r="M276" s="7">
        <f t="shared" si="63"/>
        <v>1</v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4000</v>
      </c>
      <c r="K277" s="285">
        <f t="shared" si="71"/>
        <v>0</v>
      </c>
      <c r="L277" s="282">
        <f t="shared" si="71"/>
        <v>4000</v>
      </c>
      <c r="M277" s="7">
        <f t="shared" si="63"/>
        <v>1</v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3" t="s">
        <v>642</v>
      </c>
      <c r="D284" s="175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3" t="s">
        <v>704</v>
      </c>
      <c r="D287" s="175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5" t="s">
        <v>705</v>
      </c>
      <c r="D288" s="175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7" t="s">
        <v>935</v>
      </c>
      <c r="D293" s="175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9" t="s">
        <v>713</v>
      </c>
      <c r="D297" s="176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26576</v>
      </c>
      <c r="K301" s="399">
        <f t="shared" si="79"/>
        <v>0</v>
      </c>
      <c r="L301" s="396">
        <f t="shared" si="79"/>
        <v>26576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9"/>
      <c r="C340" s="1809"/>
      <c r="D340" s="180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4" t="str">
        <f>$B$7</f>
        <v>ОТЧЕТНИ ДАННИ ПО ЕБК ЗА СМЕТКИТЕ ЗА СРЕДСТВАТА ОТ ЕВРОПЕЙСКИЯ СЪЮЗ - РА</v>
      </c>
      <c r="C344" s="1814"/>
      <c r="D344" s="181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1">
        <f>$B$9</f>
        <v>0</v>
      </c>
      <c r="C346" s="1772"/>
      <c r="D346" s="1773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1" t="str">
        <f>$B$12</f>
        <v>Твърдица</v>
      </c>
      <c r="C349" s="1802"/>
      <c r="D349" s="1803"/>
      <c r="E349" s="411" t="s">
        <v>910</v>
      </c>
      <c r="F349" s="233" t="str">
        <f>$F$12</f>
        <v>7004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91" t="s">
        <v>2048</v>
      </c>
      <c r="F353" s="1792"/>
      <c r="G353" s="1792"/>
      <c r="H353" s="1793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2" t="s">
        <v>283</v>
      </c>
      <c r="D357" s="1813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0" t="s">
        <v>294</v>
      </c>
      <c r="D371" s="1811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0" t="s">
        <v>316</v>
      </c>
      <c r="D379" s="1811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0" t="s">
        <v>260</v>
      </c>
      <c r="D384" s="1811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0" t="s">
        <v>261</v>
      </c>
      <c r="D387" s="1811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0" t="s">
        <v>263</v>
      </c>
      <c r="D392" s="1811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5212</v>
      </c>
      <c r="K392" s="446">
        <f>SUM(K393:K394)</f>
        <v>0</v>
      </c>
      <c r="L392" s="1380">
        <f t="shared" si="91"/>
        <v>5212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>
        <v>0</v>
      </c>
      <c r="G393" s="153">
        <v>0</v>
      </c>
      <c r="H393" s="154">
        <v>0</v>
      </c>
      <c r="I393" s="152">
        <v>0</v>
      </c>
      <c r="J393" s="153">
        <v>5212</v>
      </c>
      <c r="K393" s="154">
        <v>0</v>
      </c>
      <c r="L393" s="1381">
        <f>I393+J393+K393</f>
        <v>5212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0" t="s">
        <v>264</v>
      </c>
      <c r="D395" s="1811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34598</v>
      </c>
      <c r="K395" s="446">
        <f>SUM(K396:K397)</f>
        <v>0</v>
      </c>
      <c r="L395" s="1380">
        <f t="shared" si="92"/>
        <v>34598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0</v>
      </c>
      <c r="F396" s="152">
        <v>0</v>
      </c>
      <c r="G396" s="1647">
        <v>0</v>
      </c>
      <c r="H396" s="1618">
        <v>0</v>
      </c>
      <c r="I396" s="152">
        <v>0</v>
      </c>
      <c r="J396" s="1647">
        <v>34598</v>
      </c>
      <c r="K396" s="1653">
        <v>0</v>
      </c>
      <c r="L396" s="1381">
        <f>I396+J396+K396</f>
        <v>34598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0" t="s">
        <v>944</v>
      </c>
      <c r="D398" s="1811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0" t="s">
        <v>699</v>
      </c>
      <c r="D401" s="1811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0" t="s">
        <v>700</v>
      </c>
      <c r="D402" s="1811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0" t="s">
        <v>718</v>
      </c>
      <c r="D405" s="1811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0" t="s">
        <v>267</v>
      </c>
      <c r="D408" s="1811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39810</v>
      </c>
      <c r="K415" s="516">
        <f>SUM(K357,K371,K379,K384,K387,K392,K395,K398,K401,K402,K405,K408)</f>
        <v>0</v>
      </c>
      <c r="L415" s="513">
        <f t="shared" si="98"/>
        <v>39810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0" t="s">
        <v>786</v>
      </c>
      <c r="D418" s="1811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0" t="s">
        <v>723</v>
      </c>
      <c r="D419" s="1811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0" t="s">
        <v>268</v>
      </c>
      <c r="D420" s="1811"/>
      <c r="E420" s="1380">
        <f>F420+G420+H420</f>
        <v>0</v>
      </c>
      <c r="F420" s="1630">
        <v>0</v>
      </c>
      <c r="G420" s="1631">
        <v>0</v>
      </c>
      <c r="H420" s="1481">
        <v>0</v>
      </c>
      <c r="I420" s="1630">
        <v>0</v>
      </c>
      <c r="J420" s="1631">
        <v>26576</v>
      </c>
      <c r="K420" s="1481">
        <v>0</v>
      </c>
      <c r="L420" s="1380">
        <f>I420+J420+K420</f>
        <v>26576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10" t="s">
        <v>702</v>
      </c>
      <c r="D421" s="1811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0" t="s">
        <v>948</v>
      </c>
      <c r="D422" s="1811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26576</v>
      </c>
      <c r="K425" s="516">
        <f t="shared" si="100"/>
        <v>0</v>
      </c>
      <c r="L425" s="513">
        <f t="shared" si="100"/>
        <v>26576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7" t="str">
        <f>$B$7</f>
        <v>ОТЧЕТНИ ДАННИ ПО ЕБК ЗА СМЕТКИТЕ ЗА СРЕДСТВАТА ОТ ЕВРОПЕЙСКИЯ СЪЮЗ - РА</v>
      </c>
      <c r="C429" s="1818"/>
      <c r="D429" s="181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1">
        <f>$B$9</f>
        <v>0</v>
      </c>
      <c r="C431" s="1772"/>
      <c r="D431" s="1773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1" t="str">
        <f>$B$12</f>
        <v>Твърдица</v>
      </c>
      <c r="C434" s="1802"/>
      <c r="D434" s="1803"/>
      <c r="E434" s="411" t="s">
        <v>910</v>
      </c>
      <c r="F434" s="233" t="str">
        <f>$F$12</f>
        <v>7004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7" t="s">
        <v>2050</v>
      </c>
      <c r="F438" s="1778"/>
      <c r="G438" s="1778"/>
      <c r="H438" s="1779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39810</v>
      </c>
      <c r="K441" s="549">
        <f t="shared" si="103"/>
        <v>0</v>
      </c>
      <c r="L441" s="550">
        <f t="shared" si="103"/>
        <v>39810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-39810</v>
      </c>
      <c r="K442" s="556">
        <f t="shared" si="104"/>
        <v>0</v>
      </c>
      <c r="L442" s="557">
        <f>+L593</f>
        <v>-39810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69" t="str">
        <f>$B$7</f>
        <v>ОТЧЕТНИ ДАННИ ПО ЕБК ЗА СМЕТКИТЕ ЗА СРЕДСТВАТА ОТ ЕВРОПЕЙСКИЯ СЪЮЗ - РА</v>
      </c>
      <c r="C445" s="1770"/>
      <c r="D445" s="177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1">
        <f>$B$9</f>
        <v>0</v>
      </c>
      <c r="C447" s="1772"/>
      <c r="D447" s="1773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1" t="str">
        <f>$B$12</f>
        <v>Твърдица</v>
      </c>
      <c r="C450" s="1802"/>
      <c r="D450" s="1803"/>
      <c r="E450" s="411" t="s">
        <v>910</v>
      </c>
      <c r="F450" s="233" t="str">
        <f>$F$12</f>
        <v>7004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85" t="s">
        <v>2052</v>
      </c>
      <c r="F454" s="1786"/>
      <c r="G454" s="1786"/>
      <c r="H454" s="1787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5" t="s">
        <v>787</v>
      </c>
      <c r="D457" s="181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790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2026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5" t="s">
        <v>793</v>
      </c>
      <c r="D467" s="181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800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1" t="s">
        <v>952</v>
      </c>
      <c r="D477" s="182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4" t="s">
        <v>957</v>
      </c>
      <c r="D493" s="1825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4" t="s">
        <v>24</v>
      </c>
      <c r="D498" s="1825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6" t="s">
        <v>958</v>
      </c>
      <c r="D499" s="1826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1" t="s">
        <v>33</v>
      </c>
      <c r="D508" s="182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1" t="s">
        <v>37</v>
      </c>
      <c r="D512" s="182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1" t="s">
        <v>959</v>
      </c>
      <c r="D517" s="1828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4" t="s">
        <v>960</v>
      </c>
      <c r="D520" s="1820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2" t="s">
        <v>320</v>
      </c>
      <c r="D527" s="1823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1" t="s">
        <v>962</v>
      </c>
      <c r="D531" s="182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7" t="s">
        <v>963</v>
      </c>
      <c r="D532" s="1827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9" t="s">
        <v>964</v>
      </c>
      <c r="D537" s="1820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1" t="s">
        <v>965</v>
      </c>
      <c r="D540" s="182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9" t="s">
        <v>974</v>
      </c>
      <c r="D562" s="1819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-39810</v>
      </c>
      <c r="K562" s="582">
        <f t="shared" si="133"/>
        <v>0</v>
      </c>
      <c r="L562" s="579">
        <f t="shared" si="133"/>
        <v>-39810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-39810</v>
      </c>
      <c r="K569" s="1669">
        <v>0</v>
      </c>
      <c r="L569" s="1395">
        <f t="shared" si="134"/>
        <v>-39810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9" t="s">
        <v>979</v>
      </c>
      <c r="D582" s="1820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9" t="s">
        <v>852</v>
      </c>
      <c r="D587" s="1820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-39810</v>
      </c>
      <c r="K593" s="667">
        <f t="shared" si="138"/>
        <v>0</v>
      </c>
      <c r="L593" s="663">
        <f t="shared" si="138"/>
        <v>-39810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7" t="s">
        <v>2063</v>
      </c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897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2063</v>
      </c>
      <c r="E599" s="672"/>
      <c r="F599" s="219" t="s">
        <v>899</v>
      </c>
      <c r="G599" s="1829" t="s">
        <v>2064</v>
      </c>
      <c r="H599" s="1830"/>
      <c r="I599" s="1830"/>
      <c r="J599" s="1831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900</v>
      </c>
      <c r="C600" s="1836"/>
      <c r="D600" s="673" t="s">
        <v>901</v>
      </c>
      <c r="E600" s="674"/>
      <c r="F600" s="675"/>
      <c r="G600" s="1837" t="s">
        <v>897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>
        <v>43144</v>
      </c>
      <c r="C601" s="1839"/>
      <c r="D601" s="676" t="s">
        <v>902</v>
      </c>
      <c r="E601" s="677" t="s">
        <v>2065</v>
      </c>
      <c r="F601" s="678"/>
      <c r="G601" s="679" t="s">
        <v>903</v>
      </c>
      <c r="H601" s="1840"/>
      <c r="I601" s="1841"/>
      <c r="J601" s="184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40"/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69" t="str">
        <f>$B$7</f>
        <v>ОТЧЕТНИ ДАННИ ПО ЕБК ЗА СМЕТКИТЕ ЗА СРЕДСТВАТА ОТ ЕВРОПЕЙСКИЯ СЪЮЗ - РА</v>
      </c>
      <c r="C608" s="1770"/>
      <c r="D608" s="177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1">
        <f>$B$9</f>
        <v>0</v>
      </c>
      <c r="C610" s="1772"/>
      <c r="D610" s="1773"/>
      <c r="E610" s="115">
        <f>$E$9</f>
        <v>42736</v>
      </c>
      <c r="F610" s="227">
        <f>$F$9</f>
        <v>43100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74" t="str">
        <f>$B$12</f>
        <v>Твърдица</v>
      </c>
      <c r="C613" s="1775"/>
      <c r="D613" s="1776"/>
      <c r="E613" s="411" t="s">
        <v>910</v>
      </c>
      <c r="F613" s="1362" t="str">
        <f>$F$12</f>
        <v>7004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77" t="s">
        <v>2057</v>
      </c>
      <c r="F617" s="1778"/>
      <c r="G617" s="1778"/>
      <c r="H617" s="1779"/>
      <c r="I617" s="1780" t="s">
        <v>2058</v>
      </c>
      <c r="J617" s="1781"/>
      <c r="K617" s="1781"/>
      <c r="L617" s="1782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8827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8827</v>
      </c>
      <c r="D622" s="1458" t="s">
        <v>117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3" t="s">
        <v>763</v>
      </c>
      <c r="D624" s="1784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766</v>
      </c>
      <c r="D627" s="1764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9853</v>
      </c>
      <c r="K627" s="277">
        <f t="shared" si="141"/>
        <v>0</v>
      </c>
      <c r="L627" s="274">
        <f t="shared" si="141"/>
        <v>9853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>
        <v>0</v>
      </c>
      <c r="G629" s="159">
        <v>0</v>
      </c>
      <c r="H629" s="1426">
        <v>0</v>
      </c>
      <c r="I629" s="158">
        <v>0</v>
      </c>
      <c r="J629" s="159">
        <v>9853</v>
      </c>
      <c r="K629" s="1426">
        <v>0</v>
      </c>
      <c r="L629" s="296">
        <f>I629+J629+K629</f>
        <v>9853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65" t="s">
        <v>199</v>
      </c>
      <c r="D633" s="1766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299</v>
      </c>
      <c r="K633" s="277">
        <f t="shared" si="142"/>
        <v>0</v>
      </c>
      <c r="L633" s="274">
        <f t="shared" si="142"/>
        <v>299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>
        <v>0</v>
      </c>
      <c r="G634" s="153">
        <v>0</v>
      </c>
      <c r="H634" s="1421">
        <v>0</v>
      </c>
      <c r="I634" s="152">
        <v>0</v>
      </c>
      <c r="J634" s="153">
        <v>150</v>
      </c>
      <c r="K634" s="1421">
        <v>0</v>
      </c>
      <c r="L634" s="282">
        <f aca="true" t="shared" si="144" ref="L634:L641">I634+J634+K634</f>
        <v>150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>
        <v>0</v>
      </c>
      <c r="G637" s="159">
        <v>0</v>
      </c>
      <c r="H637" s="1426">
        <v>0</v>
      </c>
      <c r="I637" s="158">
        <v>0</v>
      </c>
      <c r="J637" s="159">
        <v>94</v>
      </c>
      <c r="K637" s="1426">
        <v>0</v>
      </c>
      <c r="L637" s="296">
        <f t="shared" si="144"/>
        <v>94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>
        <v>0</v>
      </c>
      <c r="G638" s="159">
        <v>0</v>
      </c>
      <c r="H638" s="1426">
        <v>0</v>
      </c>
      <c r="I638" s="158">
        <v>0</v>
      </c>
      <c r="J638" s="159">
        <v>55</v>
      </c>
      <c r="K638" s="1426">
        <v>0</v>
      </c>
      <c r="L638" s="296">
        <f t="shared" si="144"/>
        <v>55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7" t="s">
        <v>204</v>
      </c>
      <c r="D641" s="1768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12424</v>
      </c>
      <c r="K642" s="277">
        <f t="shared" si="145"/>
        <v>0</v>
      </c>
      <c r="L642" s="311">
        <f t="shared" si="145"/>
        <v>12424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>
        <v>0</v>
      </c>
      <c r="G647" s="159">
        <v>0</v>
      </c>
      <c r="H647" s="1426">
        <v>0</v>
      </c>
      <c r="I647" s="158">
        <v>0</v>
      </c>
      <c r="J647" s="159">
        <v>1125</v>
      </c>
      <c r="K647" s="1426">
        <v>0</v>
      </c>
      <c r="L647" s="296">
        <f t="shared" si="147"/>
        <v>1125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>
        <v>0</v>
      </c>
      <c r="G649" s="456">
        <v>0</v>
      </c>
      <c r="H649" s="1434">
        <v>0</v>
      </c>
      <c r="I649" s="455">
        <v>0</v>
      </c>
      <c r="J649" s="456">
        <v>11197</v>
      </c>
      <c r="K649" s="1434">
        <v>0</v>
      </c>
      <c r="L649" s="321">
        <f t="shared" si="147"/>
        <v>11197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>
        <v>0</v>
      </c>
      <c r="G654" s="456">
        <v>0</v>
      </c>
      <c r="H654" s="1434">
        <v>0</v>
      </c>
      <c r="I654" s="455">
        <v>0</v>
      </c>
      <c r="J654" s="456">
        <v>102</v>
      </c>
      <c r="K654" s="1434">
        <v>0</v>
      </c>
      <c r="L654" s="321">
        <f t="shared" si="147"/>
        <v>102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5" t="s">
        <v>279</v>
      </c>
      <c r="D660" s="1756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5" t="s">
        <v>741</v>
      </c>
      <c r="D664" s="1756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5" t="s">
        <v>224</v>
      </c>
      <c r="D670" s="1756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5" t="s">
        <v>226</v>
      </c>
      <c r="D673" s="1756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1690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5" t="s">
        <v>229</v>
      </c>
      <c r="D677" s="1756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5" t="s">
        <v>241</v>
      </c>
      <c r="D693" s="1756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5" t="s">
        <v>242</v>
      </c>
      <c r="D694" s="1756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5" t="s">
        <v>243</v>
      </c>
      <c r="D695" s="1756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5" t="s">
        <v>244</v>
      </c>
      <c r="D696" s="1756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5" t="s">
        <v>1691</v>
      </c>
      <c r="D703" s="1756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5" t="s">
        <v>1688</v>
      </c>
      <c r="D707" s="1756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5" t="s">
        <v>1689</v>
      </c>
      <c r="D708" s="1756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5" t="s">
        <v>280</v>
      </c>
      <c r="D710" s="1756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3" t="s">
        <v>255</v>
      </c>
      <c r="D713" s="175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3" t="s">
        <v>256</v>
      </c>
      <c r="D714" s="175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4000</v>
      </c>
      <c r="K714" s="277">
        <f t="shared" si="167"/>
        <v>0</v>
      </c>
      <c r="L714" s="311">
        <f t="shared" si="167"/>
        <v>4000</v>
      </c>
      <c r="M714" s="12">
        <f t="shared" si="159"/>
        <v>1</v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>
        <v>0</v>
      </c>
      <c r="G715" s="153">
        <v>0</v>
      </c>
      <c r="H715" s="1421">
        <v>0</v>
      </c>
      <c r="I715" s="152">
        <v>0</v>
      </c>
      <c r="J715" s="153">
        <v>4000</v>
      </c>
      <c r="K715" s="1421">
        <v>0</v>
      </c>
      <c r="L715" s="282">
        <f aca="true" t="shared" si="169" ref="L715:L721">I715+J715+K715</f>
        <v>4000</v>
      </c>
      <c r="M715" s="12">
        <f t="shared" si="159"/>
        <v>1</v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3" t="s">
        <v>642</v>
      </c>
      <c r="D722" s="175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3" t="s">
        <v>704</v>
      </c>
      <c r="D725" s="175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5" t="s">
        <v>705</v>
      </c>
      <c r="D726" s="1756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7" t="s">
        <v>935</v>
      </c>
      <c r="D731" s="175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9" t="s">
        <v>713</v>
      </c>
      <c r="D735" s="176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9" t="s">
        <v>713</v>
      </c>
      <c r="D736" s="176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26576</v>
      </c>
      <c r="K740" s="399">
        <f t="shared" si="173"/>
        <v>0</v>
      </c>
      <c r="L740" s="396">
        <f t="shared" si="173"/>
        <v>26576</v>
      </c>
      <c r="M740" s="12">
        <f>(IF($E740&lt;&gt;0,$M$2,IF($L740&lt;&gt;0,$M$2,"")))</f>
        <v>1</v>
      </c>
      <c r="N740" s="73" t="str">
        <f>LEFT(C621,1)</f>
        <v>8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722:D722"/>
    <mergeCell ref="C693:D693"/>
    <mergeCell ref="C694:D694"/>
    <mergeCell ref="C695:D695"/>
    <mergeCell ref="C696:D696"/>
    <mergeCell ref="C703:D703"/>
    <mergeCell ref="C707:D707"/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</mergeCells>
  <conditionalFormatting sqref="D443">
    <cfRule type="cellIs" priority="106" dxfId="136" operator="notEqual" stopIfTrue="1">
      <formula>0</formula>
    </cfRule>
  </conditionalFormatting>
  <conditionalFormatting sqref="D594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0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1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36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2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9">
    <cfRule type="cellIs" priority="17" dxfId="22" operator="greaterThan" stopIfTrue="1">
      <formula>$G$25</formula>
    </cfRule>
  </conditionalFormatting>
  <conditionalFormatting sqref="J169">
    <cfRule type="cellIs" priority="16" dxfId="22" operator="greaterThan" stopIfTrue="1">
      <formula>$J$25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5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69">
        <f>$B$7</f>
        <v>0</v>
      </c>
      <c r="J14" s="1770"/>
      <c r="K14" s="177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4">
        <f>$B$12</f>
        <v>0</v>
      </c>
      <c r="J19" s="1775"/>
      <c r="K19" s="1776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77" t="s">
        <v>2057</v>
      </c>
      <c r="M23" s="1778"/>
      <c r="N23" s="1778"/>
      <c r="O23" s="1779"/>
      <c r="P23" s="1780" t="s">
        <v>2058</v>
      </c>
      <c r="Q23" s="1781"/>
      <c r="R23" s="1781"/>
      <c r="S23" s="178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3" t="s">
        <v>763</v>
      </c>
      <c r="K30" s="178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766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5" t="s">
        <v>199</v>
      </c>
      <c r="K39" s="176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7" t="s">
        <v>204</v>
      </c>
      <c r="K47" s="1768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5" t="s">
        <v>279</v>
      </c>
      <c r="K66" s="175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5" t="s">
        <v>741</v>
      </c>
      <c r="K70" s="175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5" t="s">
        <v>224</v>
      </c>
      <c r="K76" s="175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5" t="s">
        <v>226</v>
      </c>
      <c r="K79" s="1756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1" t="s">
        <v>1690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5" t="s">
        <v>229</v>
      </c>
      <c r="K83" s="175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5" t="s">
        <v>241</v>
      </c>
      <c r="K99" s="1756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5" t="s">
        <v>242</v>
      </c>
      <c r="K100" s="1756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5" t="s">
        <v>243</v>
      </c>
      <c r="K101" s="1756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5" t="s">
        <v>244</v>
      </c>
      <c r="K102" s="175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5" t="s">
        <v>1691</v>
      </c>
      <c r="K109" s="175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5" t="s">
        <v>1688</v>
      </c>
      <c r="K113" s="1756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5" t="s">
        <v>1689</v>
      </c>
      <c r="K114" s="1756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5" t="s">
        <v>280</v>
      </c>
      <c r="K116" s="175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3" t="s">
        <v>255</v>
      </c>
      <c r="K119" s="175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3" t="s">
        <v>256</v>
      </c>
      <c r="K120" s="175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3" t="s">
        <v>642</v>
      </c>
      <c r="K128" s="175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3" t="s">
        <v>704</v>
      </c>
      <c r="K131" s="175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5" t="s">
        <v>705</v>
      </c>
      <c r="K132" s="175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7" t="s">
        <v>935</v>
      </c>
      <c r="K137" s="175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9" t="s">
        <v>713</v>
      </c>
      <c r="K141" s="176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9" t="s">
        <v>713</v>
      </c>
      <c r="K142" s="176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2018-02-13T12:15:04Z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